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"/>
    </mc:Choice>
  </mc:AlternateContent>
  <bookViews>
    <workbookView xWindow="10470" yWindow="45" windowWidth="19980" windowHeight="85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56" i="1" l="1"/>
  <c r="C52" i="1"/>
  <c r="C51" i="1"/>
  <c r="C50" i="1"/>
  <c r="B67" i="1" l="1"/>
  <c r="B65" i="1"/>
  <c r="B66" i="1"/>
  <c r="B63" i="1"/>
  <c r="C62" i="1"/>
  <c r="B62" i="1" l="1"/>
  <c r="B61" i="1"/>
  <c r="B64" i="1" l="1"/>
  <c r="M51" i="1"/>
  <c r="L52" i="1" l="1"/>
  <c r="L51" i="1" l="1"/>
  <c r="J58" i="1" l="1"/>
  <c r="J57" i="1"/>
  <c r="K52" i="1"/>
  <c r="B51" i="1" l="1"/>
  <c r="B54" i="1"/>
  <c r="K51" i="1" l="1"/>
  <c r="J51" i="1"/>
  <c r="I51" i="1"/>
  <c r="D51" i="1"/>
  <c r="G52" i="1"/>
  <c r="G51" i="1"/>
  <c r="F52" i="1"/>
  <c r="E52" i="1"/>
  <c r="E51" i="1"/>
  <c r="D52" i="1"/>
  <c r="B52" i="1"/>
  <c r="H52" i="1" s="1"/>
  <c r="H53" i="1" s="1"/>
  <c r="I52" i="1" s="1"/>
  <c r="I54" i="1" s="1"/>
  <c r="F51" i="1" l="1"/>
  <c r="H51" i="1"/>
  <c r="B40" i="1" l="1"/>
  <c r="B35" i="1" l="1"/>
  <c r="D32" i="1" l="1"/>
  <c r="B37" i="1"/>
  <c r="L40" i="1"/>
  <c r="E32" i="1" l="1"/>
  <c r="F35" i="1"/>
  <c r="D35" i="1"/>
  <c r="D36" i="1" s="1"/>
  <c r="E34" i="1" s="1"/>
  <c r="B29" i="1"/>
  <c r="Q30" i="1" s="1"/>
  <c r="B34" i="1"/>
  <c r="G35" i="1" s="1"/>
  <c r="K39" i="1"/>
  <c r="G41" i="1"/>
  <c r="G34" i="1" l="1"/>
  <c r="E35" i="1"/>
  <c r="M34" i="1"/>
  <c r="L35" i="1"/>
  <c r="G47" i="1"/>
  <c r="G46" i="1"/>
  <c r="G48" i="1" s="1"/>
  <c r="L34" i="1" s="1"/>
  <c r="K35" i="1"/>
  <c r="J35" i="1"/>
  <c r="H34" i="1"/>
  <c r="H37" i="1" s="1"/>
  <c r="D46" i="1" s="1"/>
  <c r="R25" i="1"/>
  <c r="F34" i="1"/>
  <c r="N29" i="1"/>
  <c r="B27" i="1" l="1"/>
  <c r="C30" i="1" l="1"/>
  <c r="B26" i="1" l="1"/>
  <c r="M7" i="1"/>
  <c r="B8" i="1"/>
  <c r="D8" i="1"/>
  <c r="B13" i="1"/>
  <c r="B17" i="1" s="1"/>
  <c r="C11" i="1"/>
  <c r="B6" i="1"/>
  <c r="B4" i="1"/>
  <c r="B3" i="1"/>
  <c r="M4" i="1" s="1"/>
  <c r="K34" i="1" l="1"/>
  <c r="Q26" i="1"/>
  <c r="Q28" i="1" s="1"/>
  <c r="Q31" i="1" s="1"/>
  <c r="Q33" i="1" s="1"/>
  <c r="Q35" i="1" s="1"/>
  <c r="Q25" i="1"/>
  <c r="P26" i="1"/>
  <c r="P25" i="1"/>
  <c r="O26" i="1"/>
  <c r="O25" i="1"/>
  <c r="N30" i="1"/>
  <c r="N25" i="1"/>
  <c r="M26" i="1"/>
  <c r="M28" i="1" s="1"/>
  <c r="M25" i="1"/>
  <c r="L26" i="1"/>
  <c r="L25" i="1"/>
  <c r="K26" i="1"/>
  <c r="K25" i="1"/>
  <c r="J26" i="1"/>
  <c r="J25" i="1"/>
  <c r="I26" i="1"/>
  <c r="I25" i="1"/>
  <c r="H27" i="1"/>
  <c r="H25" i="1"/>
  <c r="H26" i="1"/>
  <c r="G26" i="1"/>
  <c r="G25" i="1"/>
  <c r="F26" i="1"/>
  <c r="F25" i="1"/>
  <c r="E25" i="1"/>
  <c r="E26" i="1"/>
  <c r="D25" i="1"/>
  <c r="D26" i="1"/>
  <c r="B7" i="1"/>
  <c r="F4" i="1"/>
  <c r="H4" i="1"/>
  <c r="J4" i="1"/>
  <c r="L4" i="1"/>
  <c r="D3" i="1"/>
  <c r="E4" i="1"/>
  <c r="G4" i="1"/>
  <c r="I4" i="1"/>
  <c r="K4" i="1"/>
  <c r="M6" i="1"/>
  <c r="N4" i="1"/>
  <c r="D4" i="1"/>
  <c r="D7" i="1" s="1"/>
  <c r="D9" i="1" s="1"/>
  <c r="E3" i="1" s="1"/>
  <c r="G3" i="1"/>
  <c r="I3" i="1"/>
  <c r="K3" i="1"/>
  <c r="M3" i="1"/>
  <c r="N3" i="1"/>
  <c r="F3" i="1"/>
  <c r="F9" i="1" s="1"/>
  <c r="F10" i="1" s="1"/>
  <c r="H3" i="1"/>
  <c r="J3" i="1"/>
  <c r="L3" i="1"/>
  <c r="H28" i="1" l="1"/>
</calcChain>
</file>

<file path=xl/sharedStrings.xml><?xml version="1.0" encoding="utf-8"?>
<sst xmlns="http://schemas.openxmlformats.org/spreadsheetml/2006/main" count="136" uniqueCount="81">
  <si>
    <t>Suelo</t>
  </si>
  <si>
    <t>Diario</t>
  </si>
  <si>
    <t>Aguinaldo</t>
  </si>
  <si>
    <t>Vacacional</t>
  </si>
  <si>
    <t>Inicio descuento</t>
  </si>
  <si>
    <t>Descuento</t>
  </si>
  <si>
    <t>Quincena</t>
  </si>
  <si>
    <t>Omnibus</t>
  </si>
  <si>
    <t>Valor Boleto</t>
  </si>
  <si>
    <t>Marzo</t>
  </si>
  <si>
    <t>Cuotas</t>
  </si>
  <si>
    <t>Cotización dólar</t>
  </si>
  <si>
    <t>Deuda $</t>
  </si>
  <si>
    <t>Deuda moto U$S</t>
  </si>
  <si>
    <t>Saldo</t>
  </si>
  <si>
    <t>Días de vacaciones</t>
  </si>
  <si>
    <t>2º Quincena</t>
  </si>
  <si>
    <t>1ª Quincena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</si>
  <si>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</si>
  <si>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</si>
  <si>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</si>
  <si>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</si>
  <si>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</si>
  <si>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</si>
  <si>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</si>
  <si>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</si>
  <si>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</si>
  <si>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Entregué 2000</t>
  </si>
  <si>
    <t>Bus</t>
  </si>
  <si>
    <t>Pague bus sig</t>
  </si>
  <si>
    <t>Boletos pago 2 semanas</t>
  </si>
  <si>
    <t>28/6 adelanto</t>
  </si>
  <si>
    <t>Aginaldo</t>
  </si>
  <si>
    <t>Sal. Vac</t>
  </si>
  <si>
    <t>Enero</t>
  </si>
  <si>
    <t>bus hasta 15/01</t>
  </si>
  <si>
    <t>IPC</t>
  </si>
  <si>
    <t>14+2+15+5</t>
  </si>
  <si>
    <t>boleto</t>
  </si>
  <si>
    <t>Febrero</t>
  </si>
  <si>
    <t>cuotas</t>
  </si>
  <si>
    <t>saldo</t>
  </si>
  <si>
    <t>Total</t>
  </si>
  <si>
    <t>Entregue</t>
  </si>
  <si>
    <t>Faltan</t>
  </si>
  <si>
    <t>preguntar Ali</t>
  </si>
  <si>
    <t>entregue 2039</t>
  </si>
  <si>
    <t>Aportes</t>
  </si>
  <si>
    <t>entregue</t>
  </si>
  <si>
    <t>actualizado febrero</t>
  </si>
  <si>
    <t>Ajuste 2014</t>
  </si>
  <si>
    <t>Saldo favor</t>
  </si>
  <si>
    <t>Saldo mes</t>
  </si>
  <si>
    <t>Sueldo 2014</t>
  </si>
  <si>
    <t>Quncena</t>
  </si>
  <si>
    <t>Aporte mes</t>
  </si>
  <si>
    <t xml:space="preserve">Entregas </t>
  </si>
  <si>
    <t>Diaria</t>
  </si>
  <si>
    <t>Aporte</t>
  </si>
  <si>
    <t>Compensar</t>
  </si>
  <si>
    <t>Entregas</t>
  </si>
  <si>
    <t>Se debe pagar</t>
  </si>
  <si>
    <t xml:space="preserve">Saldo </t>
  </si>
  <si>
    <t>xxx</t>
  </si>
  <si>
    <t>Octub</t>
  </si>
  <si>
    <t>Setiem</t>
  </si>
  <si>
    <t>XXX</t>
  </si>
  <si>
    <t>Descontar</t>
  </si>
  <si>
    <t>Faltan 1500</t>
  </si>
  <si>
    <t>Nov</t>
  </si>
  <si>
    <t>Dic</t>
  </si>
  <si>
    <t>A favor  130</t>
  </si>
  <si>
    <t>Sueldo 2015</t>
  </si>
  <si>
    <t>Sept</t>
  </si>
  <si>
    <t>Oct</t>
  </si>
  <si>
    <t>Boleto</t>
  </si>
  <si>
    <t>A favor</t>
  </si>
  <si>
    <t>saldo 1ª/4</t>
  </si>
  <si>
    <t>aguinaldo</t>
  </si>
  <si>
    <t>licencia no gozada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</si>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</sst>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4" borderId="1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1" fontId="0" fillId="0" borderId="0" xfId="0" applyNumberFormat="1"/>
    <xf numFmtId="1" fontId="2" fillId="2" borderId="1" xfId="0" applyNumberFormat="1" applyFont="1" applyFill="1" applyBorder="1"/>
    <xf numFmtId="164" fontId="0" fillId="0" borderId="0" xfId="0" applyNumberFormat="1" applyAlignment="1">
      <alignment horizontal="right" indent="3"/>
    </xf>
    <xf numFmtId="1" fontId="0" fillId="2" borderId="6" xfId="0" applyNumberFormat="1" applyFill="1" applyBorder="1" applyAlignment="1">
      <alignment horizontal="right"/>
    </xf>
    <xf numFmtId="16" fontId="0" fillId="0" borderId="0" xfId="0" applyNumberFormat="1"/>
    <xf numFmtId="1" fontId="0" fillId="2" borderId="7" xfId="0" applyNumberFormat="1" applyFill="1" applyBorder="1" applyAlignment="1">
      <alignment horizontal="right"/>
    </xf>
    <xf numFmtId="0" fontId="1" fillId="0" borderId="0" xfId="0" applyFont="1"/>
    <xf numFmtId="0" fontId="0" fillId="5" borderId="0" xfId="0" applyFill="1"/>
    <xf numFmtId="1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16" fontId="0" fillId="5" borderId="0" xfId="0" applyNumberFormat="1" applyFill="1"/>
    <xf numFmtId="0" fontId="3" fillId="6" borderId="0" xfId="0" applyFont="1" applyFill="1"/>
    <xf numFmtId="0" fontId="0" fillId="3" borderId="0" xfId="0" applyFill="1" applyBorder="1"/>
    <xf numFmtId="0" fontId="4" fillId="0" borderId="0" xfId="0" applyFont="1"/>
    <xf numFmtId="1" fontId="4" fillId="0" borderId="0" xfId="0" applyNumberFormat="1" applyFont="1"/>
    <xf numFmtId="0" fontId="1" fillId="5" borderId="0" xfId="0" applyFont="1" applyFill="1"/>
    <xf numFmtId="0" fontId="4" fillId="5" borderId="0" xfId="0" applyFont="1" applyFill="1"/>
    <xf numFmtId="0" fontId="5" fillId="0" borderId="0" xfId="0" applyFont="1"/>
    <xf numFmtId="0" fontId="0" fillId="7" borderId="0" xfId="0" applyFill="1"/>
    <xf numFmtId="0" fontId="1" fillId="7" borderId="0" xfId="0" applyFont="1" applyFill="1" applyAlignment="1">
      <alignment horizontal="right"/>
    </xf>
    <xf numFmtId="0" fontId="0" fillId="8" borderId="0" xfId="0" applyFill="1"/>
    <xf numFmtId="3" fontId="0" fillId="0" borderId="0" xfId="0" applyNumberFormat="1"/>
    <xf numFmtId="3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tabSelected="1" topLeftCell="A48" workbookViewId="0">
      <selection activeCell="A52" sqref="A52:XFD52"/>
    </sheetView>
  </sheetViews>
  <sheetFormatPr baseColWidth="10" defaultRowHeight="15" x14ac:dyDescent="0.25"/>
  <cols>
    <col min="1" max="1" width="20" customWidth="1"/>
    <col min="2" max="2" width="13.7109375" customWidth="1"/>
    <col min="3" max="3" width="13.42578125" customWidth="1"/>
    <col min="4" max="4" width="12.42578125" customWidth="1"/>
    <col min="5" max="5" width="8.42578125" customWidth="1"/>
    <col min="6" max="6" width="8" customWidth="1"/>
    <col min="7" max="7" width="6.28515625" customWidth="1"/>
    <col min="8" max="8" width="6.140625" customWidth="1"/>
    <col min="9" max="9" width="8.7109375" customWidth="1"/>
    <col min="10" max="10" width="11" customWidth="1"/>
    <col min="11" max="11" width="8.85546875" customWidth="1"/>
    <col min="12" max="12" width="11.5703125" customWidth="1"/>
    <col min="13" max="13" width="14" customWidth="1"/>
  </cols>
  <sheetData>
    <row r="2" spans="1:14" ht="18.75" x14ac:dyDescent="0.3">
      <c r="A2" s="13" t="s">
        <v>0</v>
      </c>
      <c r="B2" s="14">
        <v>5700</v>
      </c>
      <c r="C2" s="9"/>
      <c r="D2" s="10" t="s">
        <v>9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2" t="s">
        <v>34</v>
      </c>
    </row>
    <row r="3" spans="1:14" ht="18.75" x14ac:dyDescent="0.3">
      <c r="A3" s="13" t="s">
        <v>6</v>
      </c>
      <c r="B3" s="14">
        <f>B2/2</f>
        <v>2850</v>
      </c>
      <c r="C3" s="7" t="s">
        <v>17</v>
      </c>
      <c r="D3" s="2">
        <f>B3+B6-B9-B9-B15-B4</f>
        <v>1780</v>
      </c>
      <c r="E3" s="3">
        <f>B3-B15-D9+(16*19)</f>
        <v>2042</v>
      </c>
      <c r="F3" s="3">
        <f>B3-B4-B15+6*B9</f>
        <v>1780</v>
      </c>
      <c r="G3" s="3">
        <f>B3-B15+8*B9</f>
        <v>2010</v>
      </c>
      <c r="H3" s="3">
        <f>B3-B15-3*B4-112</f>
        <v>1168</v>
      </c>
      <c r="I3" s="3">
        <f>-40+B3-B15+16*B9</f>
        <v>2130</v>
      </c>
      <c r="J3" s="3">
        <f>B3-B4-B15-17+19*15</f>
        <v>1928</v>
      </c>
      <c r="K3" s="3">
        <f>B3-B15+16*B9</f>
        <v>2170</v>
      </c>
      <c r="L3" s="3">
        <f>B3-B15+13*B9</f>
        <v>2110</v>
      </c>
      <c r="M3" s="3">
        <f>B3-B15-B4+14*B9</f>
        <v>1940</v>
      </c>
      <c r="N3" s="4">
        <f>B3-2*B4-B15+13*B9</f>
        <v>1730</v>
      </c>
    </row>
    <row r="4" spans="1:14" x14ac:dyDescent="0.25">
      <c r="A4" t="s">
        <v>1</v>
      </c>
      <c r="B4">
        <f>B2/30</f>
        <v>190</v>
      </c>
      <c r="C4" s="8" t="s">
        <v>16</v>
      </c>
      <c r="D4" s="5">
        <f>B3-B4-B15</f>
        <v>1660</v>
      </c>
      <c r="E4" s="5">
        <f>B3-B15+(6*B9)</f>
        <v>1970</v>
      </c>
      <c r="F4" s="5">
        <f>B3-B11-B9-1000</f>
        <v>430</v>
      </c>
      <c r="G4" s="5">
        <f>B3-F13-B15+24*B9</f>
        <v>1330</v>
      </c>
      <c r="H4" s="5">
        <f>B3-B15-500+22*B9+B4</f>
        <v>1980</v>
      </c>
      <c r="I4" s="5">
        <f>B3-B15-B4+17*B9</f>
        <v>2000</v>
      </c>
      <c r="J4" s="5">
        <f>B3-B15-72+B9*24</f>
        <v>2258</v>
      </c>
      <c r="K4" s="5">
        <f>B3-B15+7*B9-B4</f>
        <v>1800</v>
      </c>
      <c r="L4" s="5">
        <f>B3-B15-1000+8*B9</f>
        <v>1010</v>
      </c>
      <c r="M4" s="5">
        <f>B3-B15+B9*7-70</f>
        <v>1920</v>
      </c>
      <c r="N4" s="6">
        <f>B3-B4-B15+18*B9</f>
        <v>2020</v>
      </c>
    </row>
    <row r="5" spans="1:14" x14ac:dyDescent="0.25">
      <c r="C5" s="16"/>
      <c r="D5" s="17"/>
      <c r="E5" s="17"/>
      <c r="F5" s="17"/>
      <c r="G5" s="17">
        <v>3000</v>
      </c>
      <c r="H5" s="17"/>
      <c r="I5" s="17"/>
      <c r="J5" s="17"/>
      <c r="K5" s="17"/>
      <c r="L5" s="17"/>
      <c r="M5" s="17"/>
      <c r="N5" s="17"/>
    </row>
    <row r="6" spans="1:14" x14ac:dyDescent="0.25">
      <c r="A6" t="s">
        <v>7</v>
      </c>
      <c r="B6">
        <f>8*B9</f>
        <v>160</v>
      </c>
      <c r="D6" t="s">
        <v>27</v>
      </c>
      <c r="E6" t="s">
        <v>29</v>
      </c>
      <c r="J6" t="s">
        <v>35</v>
      </c>
      <c r="L6" t="s">
        <v>32</v>
      </c>
      <c r="M6">
        <f>B3+8*19</f>
        <v>3002</v>
      </c>
    </row>
    <row r="7" spans="1:14" x14ac:dyDescent="0.25">
      <c r="A7" t="s">
        <v>2</v>
      </c>
      <c r="B7">
        <f>B3</f>
        <v>2850</v>
      </c>
      <c r="C7" t="s">
        <v>14</v>
      </c>
      <c r="D7">
        <f>2000-D4</f>
        <v>340</v>
      </c>
      <c r="E7">
        <v>4</v>
      </c>
      <c r="L7" t="s">
        <v>33</v>
      </c>
      <c r="M7">
        <f>B2/30*20</f>
        <v>3800</v>
      </c>
    </row>
    <row r="8" spans="1:14" x14ac:dyDescent="0.25">
      <c r="A8" t="s">
        <v>3</v>
      </c>
      <c r="B8">
        <f>B2/30*20</f>
        <v>3800</v>
      </c>
      <c r="D8">
        <f>12*19</f>
        <v>228</v>
      </c>
      <c r="E8" t="s">
        <v>28</v>
      </c>
    </row>
    <row r="9" spans="1:14" x14ac:dyDescent="0.25">
      <c r="A9" t="s">
        <v>8</v>
      </c>
      <c r="B9">
        <v>20</v>
      </c>
      <c r="D9">
        <f>D7-D8</f>
        <v>112</v>
      </c>
      <c r="E9" t="s">
        <v>14</v>
      </c>
      <c r="F9">
        <f>2000-F3</f>
        <v>220</v>
      </c>
    </row>
    <row r="10" spans="1:14" x14ac:dyDescent="0.25">
      <c r="F10">
        <f>2*B6-F9</f>
        <v>100</v>
      </c>
    </row>
    <row r="11" spans="1:14" x14ac:dyDescent="0.25">
      <c r="A11" t="s">
        <v>13</v>
      </c>
      <c r="B11">
        <v>1400</v>
      </c>
      <c r="C11">
        <f>B11*20</f>
        <v>28000</v>
      </c>
      <c r="E11" t="s">
        <v>30</v>
      </c>
    </row>
    <row r="12" spans="1:14" x14ac:dyDescent="0.25">
      <c r="A12" t="s">
        <v>11</v>
      </c>
      <c r="B12">
        <v>20</v>
      </c>
    </row>
    <row r="13" spans="1:14" x14ac:dyDescent="0.25">
      <c r="A13" t="s">
        <v>12</v>
      </c>
      <c r="B13">
        <f>B11*B12</f>
        <v>28000</v>
      </c>
      <c r="E13" t="s">
        <v>31</v>
      </c>
      <c r="F13">
        <v>1000</v>
      </c>
    </row>
    <row r="14" spans="1:14" x14ac:dyDescent="0.25">
      <c r="A14" t="s">
        <v>4</v>
      </c>
      <c r="B14" s="1">
        <v>40983</v>
      </c>
    </row>
    <row r="15" spans="1:14" x14ac:dyDescent="0.25">
      <c r="A15" t="s">
        <v>5</v>
      </c>
      <c r="B15">
        <v>1000</v>
      </c>
    </row>
    <row r="16" spans="1:14" x14ac:dyDescent="0.25">
      <c r="A16" s="15" t="s">
        <v>10</v>
      </c>
      <c r="B16" s="15">
        <v>28</v>
      </c>
    </row>
    <row r="17" spans="1:18" x14ac:dyDescent="0.25">
      <c r="A17" s="15" t="s">
        <v>14</v>
      </c>
      <c r="B17" s="15">
        <f>B13-(B16*B15)</f>
        <v>0</v>
      </c>
    </row>
    <row r="19" spans="1:18" x14ac:dyDescent="0.25">
      <c r="A19" t="s">
        <v>15</v>
      </c>
      <c r="B19" t="s">
        <v>37</v>
      </c>
    </row>
    <row r="20" spans="1:18" x14ac:dyDescent="0.25">
      <c r="A20">
        <v>2013</v>
      </c>
      <c r="B20">
        <v>16</v>
      </c>
    </row>
    <row r="21" spans="1:18" x14ac:dyDescent="0.25">
      <c r="A21">
        <v>2014</v>
      </c>
      <c r="B21">
        <v>14</v>
      </c>
      <c r="H21" t="s">
        <v>41</v>
      </c>
      <c r="I21" s="27"/>
    </row>
    <row r="22" spans="1:18" x14ac:dyDescent="0.25">
      <c r="E22" t="s">
        <v>38</v>
      </c>
      <c r="F22" s="22">
        <v>41409</v>
      </c>
    </row>
    <row r="23" spans="1:18" x14ac:dyDescent="0.25">
      <c r="A23">
        <v>2013</v>
      </c>
    </row>
    <row r="24" spans="1:18" x14ac:dyDescent="0.25">
      <c r="A24" t="s">
        <v>36</v>
      </c>
      <c r="B24" t="s">
        <v>49</v>
      </c>
      <c r="C24" s="9"/>
      <c r="D24" s="9" t="s">
        <v>39</v>
      </c>
      <c r="E24" s="10" t="s">
        <v>9</v>
      </c>
      <c r="F24" s="11" t="s">
        <v>18</v>
      </c>
      <c r="G24" s="11" t="s">
        <v>19</v>
      </c>
      <c r="H24" s="11" t="s">
        <v>20</v>
      </c>
      <c r="I24" s="11" t="s">
        <v>21</v>
      </c>
      <c r="J24" s="11" t="s">
        <v>22</v>
      </c>
      <c r="K24" s="11" t="s">
        <v>23</v>
      </c>
      <c r="L24" s="11" t="s">
        <v>24</v>
      </c>
      <c r="M24" s="11" t="s">
        <v>25</v>
      </c>
      <c r="N24" s="11" t="s">
        <v>26</v>
      </c>
      <c r="O24" s="12" t="s">
        <v>34</v>
      </c>
      <c r="P24" s="32" t="s">
        <v>39</v>
      </c>
      <c r="Q24" s="32" t="s">
        <v>9</v>
      </c>
      <c r="R24" s="32" t="s">
        <v>18</v>
      </c>
    </row>
    <row r="25" spans="1:18" x14ac:dyDescent="0.25">
      <c r="A25">
        <v>1.079</v>
      </c>
      <c r="B25" s="18">
        <v>6250</v>
      </c>
      <c r="C25" s="7" t="s">
        <v>17</v>
      </c>
      <c r="D25" s="21">
        <f>B26-B27-B15+7*B9</f>
        <v>2056.6666666666665</v>
      </c>
      <c r="E25" s="18">
        <f>B26-B15-B27+14*B9</f>
        <v>2196.666666666667</v>
      </c>
      <c r="F25" s="18">
        <f>B26-B15-B27+18*B9+200</f>
        <v>2476.666666666667</v>
      </c>
      <c r="G25">
        <f>B26-B15-B27+16*20</f>
        <v>2236.666666666667</v>
      </c>
      <c r="H25">
        <f>B26-1500+16*20</f>
        <v>1945</v>
      </c>
      <c r="I25">
        <f>B26+14*20</f>
        <v>3405</v>
      </c>
      <c r="J25" s="18">
        <f>B26-B27-500+16*20</f>
        <v>2736.6666666666665</v>
      </c>
      <c r="K25" s="18">
        <f>B26-B27+14*20-1000</f>
        <v>2196.6666666666665</v>
      </c>
      <c r="L25">
        <f>B26-1000+18*11</f>
        <v>2323</v>
      </c>
      <c r="M25">
        <f>B26-1000+17*21-60</f>
        <v>2422</v>
      </c>
      <c r="N25">
        <f>B26-1000+16*21</f>
        <v>2461</v>
      </c>
      <c r="O25">
        <f>B26-1000+13*21-B28/2</f>
        <v>2133</v>
      </c>
      <c r="P25">
        <f>B26-B28/2+16*21-98</f>
        <v>3098</v>
      </c>
      <c r="Q25">
        <f>B26-B28/2+16*22</f>
        <v>3212</v>
      </c>
      <c r="R25" s="18">
        <f>B34-B29+15*22</f>
        <v>3535</v>
      </c>
    </row>
    <row r="26" spans="1:18" ht="18.75" x14ac:dyDescent="0.3">
      <c r="A26" s="13" t="s">
        <v>6</v>
      </c>
      <c r="B26" s="19">
        <f>B25/2</f>
        <v>3125</v>
      </c>
      <c r="C26" s="8" t="s">
        <v>16</v>
      </c>
      <c r="D26" s="23">
        <f>B26+16*B9-B15</f>
        <v>2445</v>
      </c>
      <c r="E26">
        <f>B26-B15+18*B9</f>
        <v>2485</v>
      </c>
      <c r="F26" s="18">
        <f>B26-4*B27+11*20-400</f>
        <v>2111.6666666666665</v>
      </c>
      <c r="G26">
        <f>B26-2000+B9*19</f>
        <v>1505</v>
      </c>
      <c r="H26">
        <f>B26+11*20-3*B27-45</f>
        <v>2675</v>
      </c>
      <c r="I26" s="29">
        <f>B26+18*20-B27</f>
        <v>3276.6666666666665</v>
      </c>
      <c r="J26">
        <f>B26+17*20-1000</f>
        <v>2465</v>
      </c>
      <c r="K26" s="18">
        <f>B26-1000+15*21-B27</f>
        <v>2231.6666666666665</v>
      </c>
      <c r="L26" s="18">
        <f>B26-1000-2*B27+11*21</f>
        <v>1939.3333333333333</v>
      </c>
      <c r="M26">
        <f>B26-1000+21*16-300</f>
        <v>2161</v>
      </c>
      <c r="O26">
        <f>B26-B28/2-1000+42</f>
        <v>1902</v>
      </c>
      <c r="P26" s="18">
        <f>B26-(4*B27)-B28/2+11*21</f>
        <v>2257.6666666666665</v>
      </c>
      <c r="Q26" s="18">
        <f>B26+22*16-B27-800-B29+690+690</f>
        <v>3583.6666666666665</v>
      </c>
    </row>
    <row r="27" spans="1:18" x14ac:dyDescent="0.25">
      <c r="A27" t="s">
        <v>1</v>
      </c>
      <c r="B27" s="20">
        <f>B25/30</f>
        <v>208.33333333333334</v>
      </c>
      <c r="G27" t="s">
        <v>2</v>
      </c>
      <c r="H27" s="18">
        <f>B26</f>
        <v>3125</v>
      </c>
      <c r="L27" s="31"/>
      <c r="M27" t="s">
        <v>46</v>
      </c>
      <c r="P27" t="s">
        <v>48</v>
      </c>
      <c r="Q27">
        <v>3500</v>
      </c>
    </row>
    <row r="28" spans="1:18" x14ac:dyDescent="0.25">
      <c r="A28" t="s">
        <v>47</v>
      </c>
      <c r="B28">
        <v>530</v>
      </c>
      <c r="G28" t="s">
        <v>42</v>
      </c>
      <c r="H28" s="26">
        <f>H26+H27</f>
        <v>5800</v>
      </c>
      <c r="I28" t="s">
        <v>43</v>
      </c>
      <c r="J28">
        <v>3000</v>
      </c>
      <c r="M28" s="27">
        <f>M26-2039-B27</f>
        <v>-86.333333333333343</v>
      </c>
      <c r="Q28" s="18">
        <f>Q26-Q27</f>
        <v>83.666666666666515</v>
      </c>
    </row>
    <row r="29" spans="1:18" x14ac:dyDescent="0.25">
      <c r="A29" s="24">
        <v>6250</v>
      </c>
      <c r="B29">
        <f>B28/2</f>
        <v>265</v>
      </c>
      <c r="I29" t="s">
        <v>44</v>
      </c>
      <c r="J29">
        <v>280</v>
      </c>
      <c r="M29" t="s">
        <v>3</v>
      </c>
      <c r="N29">
        <f>B25/30*21</f>
        <v>4375</v>
      </c>
    </row>
    <row r="30" spans="1:18" x14ac:dyDescent="0.25">
      <c r="C30" s="18">
        <f>400+4*B27</f>
        <v>1233.3333333333335</v>
      </c>
      <c r="I30" t="s">
        <v>44</v>
      </c>
      <c r="J30" t="s">
        <v>45</v>
      </c>
      <c r="M30" t="s">
        <v>2</v>
      </c>
      <c r="N30">
        <f>B26-B28*1.5-J29</f>
        <v>2050</v>
      </c>
      <c r="P30" t="s">
        <v>2</v>
      </c>
      <c r="Q30" s="18">
        <f>(3470*5+3125)/6-B29</f>
        <v>3147.5</v>
      </c>
    </row>
    <row r="31" spans="1:18" x14ac:dyDescent="0.25">
      <c r="A31" t="s">
        <v>40</v>
      </c>
      <c r="B31">
        <v>6</v>
      </c>
      <c r="Q31" s="18">
        <f>Q30+Q28</f>
        <v>3231.1666666666665</v>
      </c>
    </row>
    <row r="32" spans="1:18" x14ac:dyDescent="0.25">
      <c r="A32" s="25"/>
      <c r="B32" s="25"/>
      <c r="C32" t="s">
        <v>56</v>
      </c>
      <c r="D32" s="37">
        <f>1769+2000</f>
        <v>3769</v>
      </c>
      <c r="E32">
        <f>D32-D34</f>
        <v>234</v>
      </c>
      <c r="P32" t="s">
        <v>43</v>
      </c>
      <c r="Q32">
        <v>5000</v>
      </c>
    </row>
    <row r="33" spans="1:17" x14ac:dyDescent="0.25">
      <c r="A33" s="35" t="s">
        <v>53</v>
      </c>
      <c r="B33" s="35">
        <v>6940</v>
      </c>
      <c r="C33" t="s">
        <v>53</v>
      </c>
      <c r="D33" s="39" t="s">
        <v>18</v>
      </c>
      <c r="E33" s="38" t="s">
        <v>19</v>
      </c>
      <c r="F33" s="38" t="s">
        <v>20</v>
      </c>
      <c r="G33" s="38" t="s">
        <v>21</v>
      </c>
      <c r="H33" s="38"/>
      <c r="I33" s="38" t="s">
        <v>65</v>
      </c>
      <c r="J33" s="38" t="s">
        <v>64</v>
      </c>
      <c r="K33" s="38" t="s">
        <v>69</v>
      </c>
      <c r="L33" s="38" t="s">
        <v>70</v>
      </c>
      <c r="M33" s="38" t="s">
        <v>34</v>
      </c>
      <c r="P33" t="s">
        <v>51</v>
      </c>
      <c r="Q33" s="18">
        <f>Q32-Q31</f>
        <v>1768.8333333333335</v>
      </c>
    </row>
    <row r="34" spans="1:17" x14ac:dyDescent="0.25">
      <c r="A34" s="25" t="s">
        <v>54</v>
      </c>
      <c r="B34" s="36">
        <f>B33/2</f>
        <v>3470</v>
      </c>
      <c r="C34" t="s">
        <v>6</v>
      </c>
      <c r="D34" s="24">
        <v>3535</v>
      </c>
      <c r="E34" s="18">
        <f>B34-B37+16*22-D36</f>
        <v>3291.3333333333335</v>
      </c>
      <c r="F34">
        <f>B34-B37+16*22</f>
        <v>3516</v>
      </c>
      <c r="G34">
        <f>B34-2*B35+22*14-B37</f>
        <v>3009.3333333333335</v>
      </c>
      <c r="H34">
        <f>B34-B35-B37+17*22</f>
        <v>3306.6666666666665</v>
      </c>
      <c r="I34" t="s">
        <v>63</v>
      </c>
      <c r="J34" t="s">
        <v>66</v>
      </c>
      <c r="K34">
        <f>B26+16*23-B37</f>
        <v>3187</v>
      </c>
      <c r="L34" s="18">
        <f>B34-B37-B35+16*23-G48</f>
        <v>2509.6666666666665</v>
      </c>
      <c r="M34">
        <f>B34-B37+9*23</f>
        <v>3371</v>
      </c>
      <c r="P34" t="s">
        <v>43</v>
      </c>
      <c r="Q34">
        <v>2000</v>
      </c>
    </row>
    <row r="35" spans="1:17" x14ac:dyDescent="0.25">
      <c r="A35" s="25" t="s">
        <v>1</v>
      </c>
      <c r="B35" s="18">
        <f>B33/30</f>
        <v>231.33333333333334</v>
      </c>
      <c r="C35" s="18" t="s">
        <v>57</v>
      </c>
      <c r="D35" s="18">
        <f>B34-2*B35-B37-E32+14*22</f>
        <v>2775.3333333333335</v>
      </c>
      <c r="E35" s="18">
        <f>B34-B37-E32-500+22*17</f>
        <v>2804</v>
      </c>
      <c r="F35" s="18">
        <f>B34-B35-B37+14*22</f>
        <v>3240.6666666666665</v>
      </c>
      <c r="G35">
        <f>B34+22*20-B37</f>
        <v>3604</v>
      </c>
      <c r="H35" t="s">
        <v>63</v>
      </c>
      <c r="I35" t="s">
        <v>63</v>
      </c>
      <c r="J35" s="18">
        <f>B34+2*B35+22*23-1000-1000-B37</f>
        <v>2132.6666666666661</v>
      </c>
      <c r="K35">
        <f>B34-B37+21*23-1200</f>
        <v>2447</v>
      </c>
      <c r="L35">
        <f>B34-B37+18*22</f>
        <v>3560</v>
      </c>
      <c r="P35" s="33" t="s">
        <v>52</v>
      </c>
      <c r="Q35" s="34">
        <f>Q34+Q33-R25</f>
        <v>233.83333333333348</v>
      </c>
    </row>
    <row r="36" spans="1:17" x14ac:dyDescent="0.25">
      <c r="A36" s="25" t="s">
        <v>55</v>
      </c>
      <c r="B36" s="18">
        <v>612</v>
      </c>
      <c r="C36" t="s">
        <v>58</v>
      </c>
      <c r="D36" s="18">
        <f>3000-D35</f>
        <v>224.66666666666652</v>
      </c>
      <c r="M36" t="s">
        <v>71</v>
      </c>
    </row>
    <row r="37" spans="1:17" x14ac:dyDescent="0.25">
      <c r="A37" s="25" t="s">
        <v>6</v>
      </c>
      <c r="B37" s="29">
        <f>B36/2</f>
        <v>306</v>
      </c>
      <c r="G37" t="s">
        <v>14</v>
      </c>
      <c r="H37">
        <f>3500-H34</f>
        <v>193.33333333333348</v>
      </c>
    </row>
    <row r="38" spans="1:17" x14ac:dyDescent="0.25">
      <c r="G38" t="s">
        <v>60</v>
      </c>
      <c r="H38">
        <v>6000</v>
      </c>
    </row>
    <row r="39" spans="1:17" x14ac:dyDescent="0.25">
      <c r="A39" s="25"/>
      <c r="G39" t="s">
        <v>67</v>
      </c>
      <c r="H39">
        <v>2500</v>
      </c>
      <c r="J39" s="24" t="s">
        <v>50</v>
      </c>
      <c r="K39" s="24">
        <f>B25*1.11</f>
        <v>6937.5000000000009</v>
      </c>
      <c r="L39" s="24">
        <v>6940</v>
      </c>
    </row>
    <row r="40" spans="1:17" x14ac:dyDescent="0.25">
      <c r="A40" s="30"/>
      <c r="B40">
        <f>507+101+4</f>
        <v>612</v>
      </c>
      <c r="C40" s="28"/>
      <c r="G40" t="s">
        <v>68</v>
      </c>
      <c r="K40" s="18" t="s">
        <v>6</v>
      </c>
      <c r="L40">
        <f>L39/2</f>
        <v>3470</v>
      </c>
    </row>
    <row r="41" spans="1:17" x14ac:dyDescent="0.25">
      <c r="A41" s="22"/>
      <c r="C41" s="28" t="s">
        <v>59</v>
      </c>
      <c r="G41">
        <f>B25/4.36/20</f>
        <v>71.674311926605498</v>
      </c>
    </row>
    <row r="42" spans="1:17" x14ac:dyDescent="0.25">
      <c r="A42" s="22"/>
      <c r="C42" s="28"/>
    </row>
    <row r="43" spans="1:17" x14ac:dyDescent="0.25">
      <c r="A43" s="22"/>
      <c r="C43" s="28" t="s">
        <v>61</v>
      </c>
      <c r="D43">
        <v>2500</v>
      </c>
    </row>
    <row r="44" spans="1:17" x14ac:dyDescent="0.25">
      <c r="A44" s="22"/>
      <c r="C44" s="28"/>
    </row>
    <row r="45" spans="1:17" x14ac:dyDescent="0.25">
      <c r="A45" s="22"/>
      <c r="C45" s="28"/>
    </row>
    <row r="46" spans="1:17" x14ac:dyDescent="0.25">
      <c r="A46" s="22"/>
      <c r="C46" s="28" t="s">
        <v>62</v>
      </c>
      <c r="D46" s="28">
        <f>H38+H37-D43*1.5</f>
        <v>2443.3333333333339</v>
      </c>
      <c r="F46" t="s">
        <v>2</v>
      </c>
      <c r="G46" s="18">
        <f>(B34-B37)</f>
        <v>3164</v>
      </c>
    </row>
    <row r="47" spans="1:17" x14ac:dyDescent="0.25">
      <c r="A47" s="22"/>
      <c r="C47" s="28"/>
      <c r="G47">
        <f>(B34-B37)/6*4.5</f>
        <v>2373</v>
      </c>
    </row>
    <row r="48" spans="1:17" x14ac:dyDescent="0.25">
      <c r="A48" s="22"/>
      <c r="C48" s="28"/>
      <c r="G48" s="18">
        <f>G46-G47</f>
        <v>791</v>
      </c>
    </row>
    <row r="49" spans="1:15" x14ac:dyDescent="0.25">
      <c r="A49" s="22"/>
      <c r="C49" s="28"/>
    </row>
    <row r="50" spans="1:15" x14ac:dyDescent="0.25">
      <c r="A50" s="35" t="s">
        <v>72</v>
      </c>
      <c r="B50" s="35">
        <v>7650</v>
      </c>
      <c r="C50" s="28">
        <f>B50*1.1</f>
        <v>8415</v>
      </c>
      <c r="D50" s="40" t="s">
        <v>34</v>
      </c>
      <c r="E50" s="40" t="s">
        <v>39</v>
      </c>
      <c r="F50" s="40" t="s">
        <v>9</v>
      </c>
      <c r="G50" s="40" t="s">
        <v>18</v>
      </c>
      <c r="H50" s="40" t="s">
        <v>19</v>
      </c>
      <c r="I50" s="40" t="s">
        <v>20</v>
      </c>
      <c r="J50" s="40" t="s">
        <v>21</v>
      </c>
      <c r="K50" s="40" t="s">
        <v>22</v>
      </c>
      <c r="L50" s="40" t="s">
        <v>73</v>
      </c>
      <c r="M50" s="40" t="s">
        <v>74</v>
      </c>
      <c r="N50" s="40" t="s">
        <v>69</v>
      </c>
      <c r="O50" s="40" t="s">
        <v>70</v>
      </c>
    </row>
    <row r="51" spans="1:15" x14ac:dyDescent="0.25">
      <c r="A51" s="25" t="s">
        <v>54</v>
      </c>
      <c r="B51" s="36">
        <f>B50/2</f>
        <v>3825</v>
      </c>
      <c r="C51" s="28">
        <f>23*8*4.3</f>
        <v>791.19999999999993</v>
      </c>
      <c r="D51" t="e">
        <f>B51-B54+B55*N</f>
        <v>#NAME?</v>
      </c>
      <c r="E51">
        <f>B51-B52-B54+15*23-250</f>
        <v>3325</v>
      </c>
      <c r="F51">
        <f>B51-B54+15*23-170-B52</f>
        <v>3405</v>
      </c>
      <c r="G51">
        <f>B51-B52+18*23-B54</f>
        <v>3644</v>
      </c>
      <c r="H51">
        <f>B51-B52-B54+14*23</f>
        <v>3552</v>
      </c>
      <c r="I51">
        <f>B51-2*255-B54+14*23</f>
        <v>3297</v>
      </c>
      <c r="J51">
        <f>B51+240-B54-B54-5*B52</f>
        <v>2110</v>
      </c>
      <c r="K51">
        <f>B51-B52-B54+14*23</f>
        <v>3552</v>
      </c>
      <c r="L51">
        <f>B51-B52+16*33-B54-350</f>
        <v>3408</v>
      </c>
      <c r="M51">
        <f>(B51/15*8)-B54+10*26</f>
        <v>1960</v>
      </c>
    </row>
    <row r="52" spans="1:15" x14ac:dyDescent="0.25">
      <c r="A52" s="25" t="s">
        <v>1</v>
      </c>
      <c r="B52" s="18">
        <f>B50/30</f>
        <v>255</v>
      </c>
      <c r="C52" s="28">
        <f>SUM(C50:C51)</f>
        <v>9206.2000000000007</v>
      </c>
      <c r="D52">
        <f>B51-B54+B55*17-130</f>
        <v>3746</v>
      </c>
      <c r="E52">
        <f>B51-B52-B54+15*23-250</f>
        <v>3325</v>
      </c>
      <c r="F52">
        <f>B51-B54+19*24</f>
        <v>3941</v>
      </c>
      <c r="G52">
        <f>B51-353-B54+17*23</f>
        <v>3523</v>
      </c>
      <c r="H52">
        <f>B51-B52-B54+14*23</f>
        <v>3552</v>
      </c>
      <c r="I52">
        <f>B51-H53-B54+16*B55</f>
        <v>2405</v>
      </c>
      <c r="K52">
        <f>B51-B52-B54-K53+16*23</f>
        <v>3148</v>
      </c>
      <c r="L52" s="18">
        <f>B51-B54+230-100-B52</f>
        <v>3360</v>
      </c>
    </row>
    <row r="53" spans="1:15" x14ac:dyDescent="0.25">
      <c r="A53" s="25" t="s">
        <v>55</v>
      </c>
      <c r="B53" s="18">
        <v>680</v>
      </c>
      <c r="C53" s="28" t="s">
        <v>76</v>
      </c>
      <c r="D53" t="s">
        <v>77</v>
      </c>
      <c r="E53">
        <v>353</v>
      </c>
      <c r="H53">
        <f>4000-H52+1000</f>
        <v>1448</v>
      </c>
      <c r="K53">
        <v>450</v>
      </c>
    </row>
    <row r="54" spans="1:15" x14ac:dyDescent="0.25">
      <c r="A54" s="25" t="s">
        <v>6</v>
      </c>
      <c r="B54" s="29">
        <f>B53/2</f>
        <v>340</v>
      </c>
      <c r="C54" s="28"/>
      <c r="I54">
        <f>I52+B51</f>
        <v>6230</v>
      </c>
    </row>
    <row r="55" spans="1:15" x14ac:dyDescent="0.25">
      <c r="A55" s="22" t="s">
        <v>75</v>
      </c>
      <c r="B55" s="28">
        <v>23</v>
      </c>
      <c r="C55" s="28"/>
      <c r="H55">
        <v>1540</v>
      </c>
      <c r="I55">
        <v>7775</v>
      </c>
    </row>
    <row r="56" spans="1:15" x14ac:dyDescent="0.25">
      <c r="C56" s="28">
        <f>C52/5*4</f>
        <v>7364.9600000000009</v>
      </c>
    </row>
    <row r="57" spans="1:15" x14ac:dyDescent="0.25">
      <c r="C57" s="28"/>
      <c r="J57">
        <f>K52-1500</f>
        <v>1648</v>
      </c>
    </row>
    <row r="58" spans="1:15" x14ac:dyDescent="0.25">
      <c r="C58" s="28"/>
      <c r="J58">
        <f>J57-2000</f>
        <v>-352</v>
      </c>
    </row>
    <row r="59" spans="1:15" x14ac:dyDescent="0.25">
      <c r="C59" s="28"/>
    </row>
    <row r="61" spans="1:15" x14ac:dyDescent="0.25">
      <c r="A61" t="s">
        <v>78</v>
      </c>
      <c r="B61" s="41">
        <f>(+B50*4+B50/30*10)/12</f>
        <v>2762.5</v>
      </c>
    </row>
    <row r="62" spans="1:15" x14ac:dyDescent="0.25">
      <c r="A62" t="s">
        <v>79</v>
      </c>
      <c r="B62" s="41">
        <f>+B50/30*C62</f>
        <v>3121.4804999999997</v>
      </c>
      <c r="C62">
        <f>1.67*7.33</f>
        <v>12.241099999999999</v>
      </c>
    </row>
    <row r="63" spans="1:15" x14ac:dyDescent="0.25">
      <c r="A63" t="s">
        <v>80</v>
      </c>
      <c r="B63" s="42">
        <f>+B50/30*9.33*1.67</f>
        <v>3973.1804999999999</v>
      </c>
    </row>
    <row r="64" spans="1:15" x14ac:dyDescent="0.25">
      <c r="B64" s="41">
        <f>SUM(B61:B63)</f>
        <v>9857.1610000000001</v>
      </c>
    </row>
    <row r="65" spans="2:2" x14ac:dyDescent="0.25">
      <c r="B65">
        <f>(566+113+5)*2.5+339</f>
        <v>2049</v>
      </c>
    </row>
    <row r="66" spans="2:2" x14ac:dyDescent="0.25">
      <c r="B66">
        <f>3773/2*0.18</f>
        <v>339.57</v>
      </c>
    </row>
    <row r="67" spans="2:2" x14ac:dyDescent="0.25">
      <c r="B67" s="41">
        <f>+B64-B65-B66</f>
        <v>7468.5910000000003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2012-03-15T14:08:42Z</dcterms:created>
  <dcterms:modified xsi:type="dcterms:W3CDTF">2016-01-28T00:25:51Z</dcterms:modified>
</cp:coreProperties>
</file>